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<sst xmlns="http://schemas.openxmlformats.org/spreadsheetml/2006/main" count="225" uniqueCount="225">
  <si>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</si>
  <si>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</si>
  <si>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</si>
  <si>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</si>
  <si>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</si>
  <si>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</si>
  <si>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</si>
  <si>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</si>
  <si>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</si>
  <si>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</si>
  <si>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</si>
  <si>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</si>
  <si>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</si>
  <si>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</si>
  <si>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</si>
  <si>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</si>
  <si>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</si>
  <si>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</si>
  <si>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</si>
  <si>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</si>
  <si>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</si>
  <si>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</si>
  <si>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</si>
  <si>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</si>
  <si>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</si>
  <si>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</si>
  <si>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</si>
  <si>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</si>
  <si>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</si>
  <si>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</si>
  <si>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</si>
  <si>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</si>
  <si>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</si>
  <si>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</si>
  <si>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</si>
  <si>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</si>
  <si>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</si>
  <si>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</si>
  <si>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</si>
  <si>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</si>
  <si>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</si>
  <si>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</si>
  <si>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</si>
  <si>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</si>
  <si>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</si>
  <si>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</si>
  <si>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</si>
  <si>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</si>
  <si>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</si>
  <si>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</si>
  <si>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</si>
  <si>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</si>
  <si>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</si>
  <si>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</si>
  <si>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</si>
  <si>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</si>
  <si>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</si>
  <si>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</si>
  <si>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</si>
  <si>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</si>
  <si>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</si>
  <si>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</si>
  <si>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</si>
  <si>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</si>
  <si>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</si>
  <si>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</si>
  <si>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</si>
  <si>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</si>
  <si>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</si>
  <si>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</si>
  <si>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</si>
  <si>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</si>
  <si>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</si>
  <si>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</si>
  <si>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</si>
  <si>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</si>
  <si>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</si>
  <si>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</si>
  <si>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</si>
  <si>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</si>
  <si>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</si>
  <si>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</si>
  <si>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</si>
  <si>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</si>
  <si>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</si>
  <si>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</si>
  <si>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</si>
  <si>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</si>
  <si>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</si>
  <si>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</si>
  <si>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</si>
  <si>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</si>
  <si>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</si>
  <si>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</si>
  <si>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</si>
  <si>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</si>
  <si>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</si>
  <si>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</si>
  <si>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</si>
  <si>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</si>
  <si>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</si>
  <si>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</si>
  <si>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</si>
  <si>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</si>
  <si>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</si>
  <si>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</si>
  <si>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</si>
  <si>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</si>
  <si>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</si>
  <si>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</si>
  <si>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</si>
  <si>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</si>
  <si>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</si>
  <si>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</si>
  <si>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</si>
  <si>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</si>
  <si>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</si>
  <si>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</si>
  <si>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</si>
  <si>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</si>
  <si>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</si>
  <si>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</si>
  <si>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</si>
  <si>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</si>
  <si>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</si>
  <si>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</si>
  <si>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</si>
  <si>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</si>
  <si>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</si>
  <si>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</si>
  <si>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</si>
  <si>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</si>
  <si>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</si>
  <si>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</si>
  <si>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</si>
  <si>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</si>
  <si>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</si>
  <si>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</si>
  <si>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</si>
  <si>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</si>
  <si>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</si>
  <si>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</si>
  <si>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</si>
  <si>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</si>
  <si>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</si>
  <si>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</si>
  <si>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</si>
  <si>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</si>
  <si>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</si>
  <si>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</si>
  <si>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</si>
  <si>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</si>
  <si>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</si>
  <si>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</si>
  <si>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</si>
  <si>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</si>
  <si>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</si>
  <si>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</si>
  <si>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</si>
  <si>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</si>
  <si>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</si>
  <si>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</si>
  <si>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</si>
  <si>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</si>
  <si>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</si>
  <si>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</si>
  <si>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</si>
  <si>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</si>
  <si>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</si>
  <si>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</si>
  <si>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</si>
  <si>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</si>
  <si>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</si>
  <si>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</si>
  <si>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</si>
  <si>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</si>
  <si>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</si>
  <si>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</si>
  <si>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</si>
  <si>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</si>
  <si>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</si>
  <si>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</si>
  <si>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</si>
  <si>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</si>
  <si>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</si>
  <si>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</si>
  <si>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</si>
  <si>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</si>
  <si>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</si>
  <si>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</si>
  <si>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</si>
  <si>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</si>
  <si>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</si>
  <si>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</si>
  <si>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</si>
  <si>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</si>
  <si>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</si>
  <si>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</si>
  <si>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</si>
  <si>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</si>
  <si>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</si>
  <si>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</si>
  <si>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</si>
  <si>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</si>
  <si>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</si>
  <si>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</si>
  <si>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</si>
  <si>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</si>
  <si>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</si>
  <si>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</si>
  <si>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</si>
  <si>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</si>
  <si>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</si>
  <si>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</si>
  <si>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</si>
  <si>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</si>
  <si>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</si>
  <si>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</si>
  <si>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</si>
  <si>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</si>
  <si>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</si>
  <si>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</si>
  <si>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</si>
  <si>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</si>
  <si>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Профінансовано станом на 12.10.2018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</si>
</sst>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3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7" fillId="54" borderId="18" xfId="0" applyFont="1" applyFill="1" applyBorder="1" applyAlignment="1">
      <alignment horizontal="left" vertical="center" wrapText="1"/>
    </xf>
    <xf numFmtId="186" fontId="40" fillId="54" borderId="18" xfId="0" applyNumberFormat="1" applyFont="1" applyFill="1" applyBorder="1" applyAlignment="1">
      <alignment horizontal="center" vertical="center"/>
    </xf>
    <xf numFmtId="0" fontId="38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8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7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7" fillId="54" borderId="20" xfId="0" applyFont="1" applyFill="1" applyBorder="1" applyAlignment="1">
      <alignment horizontal="left" vertical="center" wrapText="1"/>
    </xf>
    <xf numFmtId="216" fontId="38" fillId="55" borderId="18" xfId="0" applyNumberFormat="1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1">
      <selection activeCell="AE124" sqref="AE124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0" t="s">
        <v>24</v>
      </c>
      <c r="B2" s="140"/>
      <c r="C2" s="140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</row>
    <row r="3" spans="2:30" ht="6.75" customHeight="1" thickBot="1">
      <c r="B3" s="7"/>
      <c r="C3" s="7"/>
      <c r="AD3" s="18"/>
    </row>
    <row r="4" spans="1:33" ht="12.75">
      <c r="A4" s="142" t="s">
        <v>16</v>
      </c>
      <c r="B4" s="144" t="s">
        <v>17</v>
      </c>
      <c r="C4" s="146" t="s">
        <v>35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147" t="s">
        <v>65</v>
      </c>
      <c r="AD4" s="135" t="s">
        <v>66</v>
      </c>
      <c r="AE4" s="84" t="s">
        <v>131</v>
      </c>
      <c r="AF4" s="135" t="s">
        <v>224</v>
      </c>
      <c r="AG4" s="133" t="s">
        <v>168</v>
      </c>
    </row>
    <row r="5" spans="1:33" ht="41.25" customHeight="1" thickBot="1">
      <c r="A5" s="143"/>
      <c r="B5" s="145"/>
      <c r="C5" s="145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7"/>
      <c r="AC5" s="148"/>
      <c r="AD5" s="149"/>
      <c r="AE5" s="88" t="s">
        <v>130</v>
      </c>
      <c r="AF5" s="136"/>
      <c r="AG5" s="134"/>
    </row>
    <row r="6" spans="1:33" ht="30">
      <c r="A6" s="31" t="s">
        <v>28</v>
      </c>
      <c r="B6" s="97" t="s">
        <v>83</v>
      </c>
      <c r="C6" s="98">
        <f>AD6</f>
        <v>32345464.439999998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SUM(AD7:AD64)</f>
        <v>32345464.439999998</v>
      </c>
      <c r="AE6" s="101">
        <f>AD6</f>
        <v>32345464.439999998</v>
      </c>
      <c r="AF6" s="102">
        <f>SUM(AF7:AF64)</f>
        <v>5192845.35</v>
      </c>
      <c r="AG6" s="82">
        <f>AF6/C6*100</f>
        <v>16.05432304004351</v>
      </c>
    </row>
    <row r="7" spans="1:33" ht="42">
      <c r="A7" s="20" t="s">
        <v>2</v>
      </c>
      <c r="B7" s="103" t="s">
        <v>172</v>
      </c>
      <c r="C7" s="89">
        <f>AD7</f>
        <v>22979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5"/>
      <c r="AD7" s="106">
        <f>AE7</f>
        <v>22979</v>
      </c>
      <c r="AE7" s="107">
        <v>22979</v>
      </c>
      <c r="AF7" s="108"/>
      <c r="AG7" s="78">
        <f>AF7/C7*100</f>
        <v>0</v>
      </c>
    </row>
    <row r="8" spans="1:33" ht="27.75">
      <c r="A8" s="20" t="s">
        <v>49</v>
      </c>
      <c r="B8" s="103" t="s">
        <v>173</v>
      </c>
      <c r="C8" s="89">
        <f aca="true" t="shared" si="0" ref="C8:C64">AD8</f>
        <v>76000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5"/>
      <c r="AD8" s="106">
        <f aca="true" t="shared" si="1" ref="AD8:AD64">AE8</f>
        <v>76000</v>
      </c>
      <c r="AE8" s="107">
        <v>76000</v>
      </c>
      <c r="AF8" s="108"/>
      <c r="AG8" s="78">
        <f aca="true" t="shared" si="2" ref="AG8:AG80">AF8/C8*100</f>
        <v>0</v>
      </c>
    </row>
    <row r="9" spans="1:33" ht="27.75">
      <c r="A9" s="20" t="s">
        <v>50</v>
      </c>
      <c r="B9" s="103" t="s">
        <v>174</v>
      </c>
      <c r="C9" s="89">
        <f t="shared" si="0"/>
        <v>290000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5"/>
      <c r="AD9" s="106">
        <f t="shared" si="1"/>
        <v>290000</v>
      </c>
      <c r="AE9" s="107">
        <v>290000</v>
      </c>
      <c r="AF9" s="108"/>
      <c r="AG9" s="78">
        <f t="shared" si="2"/>
        <v>0</v>
      </c>
    </row>
    <row r="10" spans="1:33" ht="27.75">
      <c r="A10" s="20" t="s">
        <v>43</v>
      </c>
      <c r="B10" s="103" t="s">
        <v>67</v>
      </c>
      <c r="C10" s="89">
        <f t="shared" si="0"/>
        <v>539000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5"/>
      <c r="AD10" s="106">
        <f t="shared" si="1"/>
        <v>539000</v>
      </c>
      <c r="AE10" s="107">
        <v>539000</v>
      </c>
      <c r="AF10" s="108">
        <f>25924.8+300000+66000+4634</f>
        <v>396558.8</v>
      </c>
      <c r="AG10" s="78">
        <f t="shared" si="2"/>
        <v>73.57306122448979</v>
      </c>
    </row>
    <row r="11" spans="1:33" ht="27.75">
      <c r="A11" s="20" t="s">
        <v>44</v>
      </c>
      <c r="B11" s="103" t="s">
        <v>68</v>
      </c>
      <c r="C11" s="89">
        <f t="shared" si="0"/>
        <v>400000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5"/>
      <c r="AD11" s="106">
        <f t="shared" si="1"/>
        <v>400000</v>
      </c>
      <c r="AE11" s="107">
        <v>400000</v>
      </c>
      <c r="AF11" s="108">
        <v>17944.8</v>
      </c>
      <c r="AG11" s="78">
        <f t="shared" si="2"/>
        <v>4.4862</v>
      </c>
    </row>
    <row r="12" spans="1:33" ht="27.75">
      <c r="A12" s="20" t="s">
        <v>19</v>
      </c>
      <c r="B12" s="103" t="s">
        <v>69</v>
      </c>
      <c r="C12" s="89">
        <f t="shared" si="0"/>
        <v>200000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5"/>
      <c r="AD12" s="106">
        <f t="shared" si="1"/>
        <v>200000</v>
      </c>
      <c r="AE12" s="107">
        <v>200000</v>
      </c>
      <c r="AF12" s="108"/>
      <c r="AG12" s="78">
        <f t="shared" si="2"/>
        <v>0</v>
      </c>
    </row>
    <row r="13" spans="1:33" ht="27.75">
      <c r="A13" s="20" t="s">
        <v>20</v>
      </c>
      <c r="B13" s="103" t="s">
        <v>70</v>
      </c>
      <c r="C13" s="89">
        <f t="shared" si="0"/>
        <v>485000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5"/>
      <c r="AD13" s="106">
        <f t="shared" si="1"/>
        <v>485000</v>
      </c>
      <c r="AE13" s="107">
        <v>485000</v>
      </c>
      <c r="AF13" s="108">
        <v>33000</v>
      </c>
      <c r="AG13" s="78">
        <f t="shared" si="2"/>
        <v>6.804123711340206</v>
      </c>
    </row>
    <row r="14" spans="1:33" ht="27.75">
      <c r="A14" s="20" t="s">
        <v>45</v>
      </c>
      <c r="B14" s="103" t="s">
        <v>71</v>
      </c>
      <c r="C14" s="89">
        <f t="shared" si="0"/>
        <v>230000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5"/>
      <c r="AD14" s="106">
        <f t="shared" si="1"/>
        <v>230000</v>
      </c>
      <c r="AE14" s="107">
        <v>230000</v>
      </c>
      <c r="AF14" s="108"/>
      <c r="AG14" s="78">
        <f t="shared" si="2"/>
        <v>0</v>
      </c>
    </row>
    <row r="15" spans="1:33" ht="27.75">
      <c r="A15" s="20" t="s">
        <v>0</v>
      </c>
      <c r="B15" s="103" t="s">
        <v>208</v>
      </c>
      <c r="C15" s="89">
        <f t="shared" si="0"/>
        <v>100000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5"/>
      <c r="AD15" s="106">
        <f t="shared" si="1"/>
        <v>100000</v>
      </c>
      <c r="AE15" s="107">
        <v>100000</v>
      </c>
      <c r="AF15" s="108"/>
      <c r="AG15" s="78">
        <f t="shared" si="2"/>
        <v>0</v>
      </c>
    </row>
    <row r="16" spans="1:33" ht="27.75">
      <c r="A16" s="20" t="s">
        <v>26</v>
      </c>
      <c r="B16" s="103" t="s">
        <v>72</v>
      </c>
      <c r="C16" s="89">
        <f t="shared" si="0"/>
        <v>936751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5"/>
      <c r="AD16" s="106">
        <f t="shared" si="1"/>
        <v>936751</v>
      </c>
      <c r="AE16" s="107">
        <v>936751</v>
      </c>
      <c r="AF16" s="108">
        <f>211800+154504.75</f>
        <v>366304.75</v>
      </c>
      <c r="AG16" s="78">
        <f t="shared" si="2"/>
        <v>39.10374795436567</v>
      </c>
    </row>
    <row r="17" spans="1:33" ht="27.75">
      <c r="A17" s="20" t="s">
        <v>51</v>
      </c>
      <c r="B17" s="103" t="s">
        <v>73</v>
      </c>
      <c r="C17" s="89">
        <f t="shared" si="0"/>
        <v>80000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06">
        <f t="shared" si="1"/>
        <v>80000</v>
      </c>
      <c r="AE17" s="107">
        <v>80000</v>
      </c>
      <c r="AF17" s="109"/>
      <c r="AG17" s="78">
        <f t="shared" si="2"/>
        <v>0</v>
      </c>
    </row>
    <row r="18" spans="1:33" ht="27.75">
      <c r="A18" s="20" t="s">
        <v>22</v>
      </c>
      <c r="B18" s="103" t="s">
        <v>74</v>
      </c>
      <c r="C18" s="89">
        <f t="shared" si="0"/>
        <v>500000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5"/>
      <c r="AD18" s="106">
        <f t="shared" si="1"/>
        <v>500000</v>
      </c>
      <c r="AE18" s="107">
        <v>500000</v>
      </c>
      <c r="AF18" s="109"/>
      <c r="AG18" s="78">
        <f t="shared" si="2"/>
        <v>0</v>
      </c>
    </row>
    <row r="19" spans="1:33" ht="27.75">
      <c r="A19" s="20" t="s">
        <v>85</v>
      </c>
      <c r="B19" s="103" t="s">
        <v>75</v>
      </c>
      <c r="C19" s="89">
        <f t="shared" si="0"/>
        <v>500000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5"/>
      <c r="AD19" s="106">
        <f t="shared" si="1"/>
        <v>500000</v>
      </c>
      <c r="AE19" s="107">
        <v>500000</v>
      </c>
      <c r="AF19" s="108">
        <f>345755.8+120749+5654</f>
        <v>472158.8</v>
      </c>
      <c r="AG19" s="78">
        <f t="shared" si="2"/>
        <v>94.43176</v>
      </c>
    </row>
    <row r="20" spans="1:33" ht="27.75">
      <c r="A20" s="20" t="s">
        <v>86</v>
      </c>
      <c r="B20" s="103" t="s">
        <v>175</v>
      </c>
      <c r="C20" s="89">
        <f t="shared" si="0"/>
        <v>333194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5"/>
      <c r="AD20" s="106">
        <f t="shared" si="1"/>
        <v>333194</v>
      </c>
      <c r="AE20" s="107">
        <v>333194</v>
      </c>
      <c r="AF20" s="109"/>
      <c r="AG20" s="78">
        <f t="shared" si="2"/>
        <v>0</v>
      </c>
    </row>
    <row r="21" spans="1:33" ht="27.75">
      <c r="A21" s="20" t="s">
        <v>87</v>
      </c>
      <c r="B21" s="103" t="s">
        <v>176</v>
      </c>
      <c r="C21" s="89">
        <f t="shared" si="0"/>
        <v>176110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  <c r="AD21" s="106">
        <f t="shared" si="1"/>
        <v>176110</v>
      </c>
      <c r="AE21" s="107">
        <v>176110</v>
      </c>
      <c r="AF21" s="109"/>
      <c r="AG21" s="78">
        <f t="shared" si="2"/>
        <v>0</v>
      </c>
    </row>
    <row r="22" spans="1:33" ht="27.75">
      <c r="A22" s="20" t="s">
        <v>88</v>
      </c>
      <c r="B22" s="103" t="s">
        <v>177</v>
      </c>
      <c r="C22" s="89">
        <f t="shared" si="0"/>
        <v>100000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/>
      <c r="AD22" s="106">
        <f t="shared" si="1"/>
        <v>100000</v>
      </c>
      <c r="AE22" s="107">
        <v>100000</v>
      </c>
      <c r="AF22" s="109"/>
      <c r="AG22" s="78">
        <f t="shared" si="2"/>
        <v>0</v>
      </c>
    </row>
    <row r="23" spans="1:33" ht="27.75">
      <c r="A23" s="20" t="s">
        <v>89</v>
      </c>
      <c r="B23" s="103" t="s">
        <v>178</v>
      </c>
      <c r="C23" s="89">
        <f t="shared" si="0"/>
        <v>100000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5"/>
      <c r="AD23" s="106">
        <f t="shared" si="1"/>
        <v>100000</v>
      </c>
      <c r="AE23" s="107">
        <v>100000</v>
      </c>
      <c r="AF23" s="109"/>
      <c r="AG23" s="78">
        <f t="shared" si="2"/>
        <v>0</v>
      </c>
    </row>
    <row r="24" spans="1:33" ht="27.75">
      <c r="A24" s="20" t="s">
        <v>90</v>
      </c>
      <c r="B24" s="103" t="s">
        <v>179</v>
      </c>
      <c r="C24" s="89">
        <f t="shared" si="0"/>
        <v>250000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5"/>
      <c r="AD24" s="106">
        <f t="shared" si="1"/>
        <v>250000</v>
      </c>
      <c r="AE24" s="107">
        <v>250000</v>
      </c>
      <c r="AF24" s="108">
        <f>3424.8+150000</f>
        <v>153424.8</v>
      </c>
      <c r="AG24" s="78">
        <f t="shared" si="2"/>
        <v>61.36992</v>
      </c>
    </row>
    <row r="25" spans="1:33" ht="27.75">
      <c r="A25" s="20" t="s">
        <v>91</v>
      </c>
      <c r="B25" s="103" t="s">
        <v>180</v>
      </c>
      <c r="C25" s="89">
        <f t="shared" si="0"/>
        <v>234108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5"/>
      <c r="AD25" s="106">
        <f t="shared" si="1"/>
        <v>234108</v>
      </c>
      <c r="AE25" s="107">
        <v>234108</v>
      </c>
      <c r="AF25" s="108">
        <f>3424.8+155000</f>
        <v>158424.8</v>
      </c>
      <c r="AG25" s="78">
        <f t="shared" si="2"/>
        <v>67.67167290310454</v>
      </c>
    </row>
    <row r="26" spans="1:33" ht="27.75">
      <c r="A26" s="20" t="s">
        <v>92</v>
      </c>
      <c r="B26" s="103" t="s">
        <v>207</v>
      </c>
      <c r="C26" s="89">
        <f t="shared" si="0"/>
        <v>150000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5"/>
      <c r="AD26" s="106">
        <f t="shared" si="1"/>
        <v>150000</v>
      </c>
      <c r="AE26" s="107">
        <v>150000</v>
      </c>
      <c r="AF26" s="108">
        <f>3424.8+100000</f>
        <v>103424.8</v>
      </c>
      <c r="AG26" s="78">
        <f t="shared" si="2"/>
        <v>68.94986666666667</v>
      </c>
    </row>
    <row r="27" spans="1:33" ht="27.75">
      <c r="A27" s="20" t="s">
        <v>93</v>
      </c>
      <c r="B27" s="103" t="s">
        <v>167</v>
      </c>
      <c r="C27" s="89">
        <f t="shared" si="0"/>
        <v>1300000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5"/>
      <c r="AD27" s="106">
        <f t="shared" si="1"/>
        <v>1300000</v>
      </c>
      <c r="AE27" s="107">
        <v>1300000</v>
      </c>
      <c r="AF27" s="108">
        <f>48851+614686+4003.69</f>
        <v>667540.69</v>
      </c>
      <c r="AG27" s="78">
        <f t="shared" si="2"/>
        <v>51.34928384615384</v>
      </c>
    </row>
    <row r="28" spans="1:33" ht="27.75">
      <c r="A28" s="20" t="s">
        <v>94</v>
      </c>
      <c r="B28" s="103" t="s">
        <v>169</v>
      </c>
      <c r="C28" s="89">
        <f t="shared" si="0"/>
        <v>1050283.59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5"/>
      <c r="AD28" s="106">
        <f t="shared" si="1"/>
        <v>1050283.59</v>
      </c>
      <c r="AE28" s="107">
        <v>1050283.59</v>
      </c>
      <c r="AF28" s="108">
        <f>48851+493855</f>
        <v>542706</v>
      </c>
      <c r="AG28" s="78">
        <f t="shared" si="2"/>
        <v>51.6723297561947</v>
      </c>
    </row>
    <row r="29" spans="1:33" ht="27.75">
      <c r="A29" s="20" t="s">
        <v>95</v>
      </c>
      <c r="B29" s="103" t="s">
        <v>76</v>
      </c>
      <c r="C29" s="89">
        <f t="shared" si="0"/>
        <v>100000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5"/>
      <c r="AD29" s="106">
        <f t="shared" si="1"/>
        <v>100000</v>
      </c>
      <c r="AE29" s="107">
        <v>100000</v>
      </c>
      <c r="AF29" s="108">
        <v>19600</v>
      </c>
      <c r="AG29" s="78">
        <f t="shared" si="2"/>
        <v>19.6</v>
      </c>
    </row>
    <row r="30" spans="1:33" ht="27.75">
      <c r="A30" s="20" t="s">
        <v>96</v>
      </c>
      <c r="B30" s="103" t="s">
        <v>132</v>
      </c>
      <c r="C30" s="89">
        <f t="shared" si="0"/>
        <v>100000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6">
        <f t="shared" si="1"/>
        <v>100000</v>
      </c>
      <c r="AE30" s="107">
        <v>100000</v>
      </c>
      <c r="AF30" s="108">
        <v>17299.8</v>
      </c>
      <c r="AG30" s="78">
        <f t="shared" si="2"/>
        <v>17.299799999999998</v>
      </c>
    </row>
    <row r="31" spans="1:33" ht="27.75">
      <c r="A31" s="20" t="s">
        <v>97</v>
      </c>
      <c r="B31" s="103" t="s">
        <v>181</v>
      </c>
      <c r="C31" s="89">
        <f t="shared" si="0"/>
        <v>70000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5"/>
      <c r="AD31" s="106">
        <f t="shared" si="1"/>
        <v>70000</v>
      </c>
      <c r="AE31" s="107">
        <v>70000</v>
      </c>
      <c r="AF31" s="109"/>
      <c r="AG31" s="78">
        <f t="shared" si="2"/>
        <v>0</v>
      </c>
    </row>
    <row r="32" spans="1:33" ht="27.75">
      <c r="A32" s="20" t="s">
        <v>98</v>
      </c>
      <c r="B32" s="103" t="s">
        <v>77</v>
      </c>
      <c r="C32" s="89">
        <f t="shared" si="0"/>
        <v>70000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5"/>
      <c r="AD32" s="106">
        <f t="shared" si="1"/>
        <v>70000</v>
      </c>
      <c r="AE32" s="107">
        <v>70000</v>
      </c>
      <c r="AF32" s="109"/>
      <c r="AG32" s="78">
        <f t="shared" si="2"/>
        <v>0</v>
      </c>
    </row>
    <row r="33" spans="1:33" ht="27.75">
      <c r="A33" s="20" t="s">
        <v>99</v>
      </c>
      <c r="B33" s="103" t="s">
        <v>78</v>
      </c>
      <c r="C33" s="89">
        <f t="shared" si="0"/>
        <v>550000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5"/>
      <c r="AD33" s="106">
        <f t="shared" si="1"/>
        <v>550000</v>
      </c>
      <c r="AE33" s="107">
        <v>550000</v>
      </c>
      <c r="AF33" s="109"/>
      <c r="AG33" s="78">
        <f t="shared" si="2"/>
        <v>0</v>
      </c>
    </row>
    <row r="34" spans="1:33" ht="27.75">
      <c r="A34" s="20" t="s">
        <v>100</v>
      </c>
      <c r="B34" s="103" t="s">
        <v>79</v>
      </c>
      <c r="C34" s="89">
        <f t="shared" si="0"/>
        <v>721000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5"/>
      <c r="AD34" s="106">
        <f t="shared" si="1"/>
        <v>721000</v>
      </c>
      <c r="AE34" s="107">
        <v>721000</v>
      </c>
      <c r="AF34" s="108">
        <f>12310+214500+159312.95</f>
        <v>386122.95</v>
      </c>
      <c r="AG34" s="78">
        <f t="shared" si="2"/>
        <v>53.55380721220527</v>
      </c>
    </row>
    <row r="35" spans="1:33" ht="27.75">
      <c r="A35" s="20" t="s">
        <v>101</v>
      </c>
      <c r="B35" s="103" t="s">
        <v>182</v>
      </c>
      <c r="C35" s="89">
        <f t="shared" si="0"/>
        <v>100000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5"/>
      <c r="AD35" s="106">
        <f t="shared" si="1"/>
        <v>100000</v>
      </c>
      <c r="AE35" s="107">
        <v>100000</v>
      </c>
      <c r="AF35" s="109"/>
      <c r="AG35" s="78">
        <f t="shared" si="2"/>
        <v>0</v>
      </c>
    </row>
    <row r="36" spans="1:33" ht="27.75">
      <c r="A36" s="20" t="s">
        <v>102</v>
      </c>
      <c r="B36" s="103" t="s">
        <v>209</v>
      </c>
      <c r="C36" s="89">
        <f t="shared" si="0"/>
        <v>100000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5"/>
      <c r="AD36" s="106">
        <f t="shared" si="1"/>
        <v>100000</v>
      </c>
      <c r="AE36" s="107">
        <v>100000</v>
      </c>
      <c r="AF36" s="108"/>
      <c r="AG36" s="78">
        <f t="shared" si="2"/>
        <v>0</v>
      </c>
    </row>
    <row r="37" spans="1:33" ht="27.75">
      <c r="A37" s="20" t="s">
        <v>103</v>
      </c>
      <c r="B37" s="110" t="s">
        <v>183</v>
      </c>
      <c r="C37" s="89">
        <f t="shared" si="0"/>
        <v>250000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5"/>
      <c r="AD37" s="106">
        <f t="shared" si="1"/>
        <v>250000</v>
      </c>
      <c r="AE37" s="107">
        <v>250000</v>
      </c>
      <c r="AF37" s="108"/>
      <c r="AG37" s="78">
        <f t="shared" si="2"/>
        <v>0</v>
      </c>
    </row>
    <row r="38" spans="1:33" ht="27.75">
      <c r="A38" s="20" t="s">
        <v>104</v>
      </c>
      <c r="B38" s="111" t="s">
        <v>184</v>
      </c>
      <c r="C38" s="89">
        <f t="shared" si="0"/>
        <v>185837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5"/>
      <c r="AD38" s="106">
        <f t="shared" si="1"/>
        <v>185837</v>
      </c>
      <c r="AE38" s="107">
        <v>185837</v>
      </c>
      <c r="AF38" s="108"/>
      <c r="AG38" s="78">
        <f t="shared" si="2"/>
        <v>0</v>
      </c>
    </row>
    <row r="39" spans="1:33" ht="27.75">
      <c r="A39" s="20" t="s">
        <v>105</v>
      </c>
      <c r="B39" s="112" t="s">
        <v>185</v>
      </c>
      <c r="C39" s="89">
        <f t="shared" si="0"/>
        <v>166666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5"/>
      <c r="AD39" s="106">
        <f t="shared" si="1"/>
        <v>166666</v>
      </c>
      <c r="AE39" s="107">
        <f>150000+16666</f>
        <v>166666</v>
      </c>
      <c r="AF39" s="108"/>
      <c r="AG39" s="78">
        <f t="shared" si="2"/>
        <v>0</v>
      </c>
    </row>
    <row r="40" spans="1:33" ht="27.75">
      <c r="A40" s="20" t="s">
        <v>106</v>
      </c>
      <c r="B40" s="112" t="s">
        <v>186</v>
      </c>
      <c r="C40" s="89">
        <f t="shared" si="0"/>
        <v>100000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5"/>
      <c r="AD40" s="106">
        <f t="shared" si="1"/>
        <v>100000</v>
      </c>
      <c r="AE40" s="107">
        <v>100000</v>
      </c>
      <c r="AF40" s="109"/>
      <c r="AG40" s="78">
        <f t="shared" si="2"/>
        <v>0</v>
      </c>
    </row>
    <row r="41" spans="1:33" ht="27.75">
      <c r="A41" s="20" t="s">
        <v>146</v>
      </c>
      <c r="B41" s="112" t="s">
        <v>187</v>
      </c>
      <c r="C41" s="89">
        <f t="shared" si="0"/>
        <v>141647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5"/>
      <c r="AD41" s="106">
        <f t="shared" si="1"/>
        <v>141647</v>
      </c>
      <c r="AE41" s="107">
        <v>141647</v>
      </c>
      <c r="AF41" s="108">
        <f>3424.8+89500</f>
        <v>92924.8</v>
      </c>
      <c r="AG41" s="78">
        <f t="shared" si="2"/>
        <v>65.60308372221085</v>
      </c>
    </row>
    <row r="42" spans="1:33" ht="27.75">
      <c r="A42" s="20" t="s">
        <v>147</v>
      </c>
      <c r="B42" s="112" t="s">
        <v>188</v>
      </c>
      <c r="C42" s="89">
        <f t="shared" si="0"/>
        <v>305263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5"/>
      <c r="AD42" s="106">
        <f t="shared" si="1"/>
        <v>305263</v>
      </c>
      <c r="AE42" s="107">
        <v>305263</v>
      </c>
      <c r="AF42" s="108">
        <f>3424.8+168000</f>
        <v>171424.8</v>
      </c>
      <c r="AG42" s="78">
        <f t="shared" si="2"/>
        <v>56.15642904642881</v>
      </c>
    </row>
    <row r="43" spans="1:33" ht="27.75">
      <c r="A43" s="20" t="s">
        <v>148</v>
      </c>
      <c r="B43" s="112" t="s">
        <v>80</v>
      </c>
      <c r="C43" s="89">
        <f t="shared" si="0"/>
        <v>89529.4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5"/>
      <c r="AD43" s="106">
        <f t="shared" si="1"/>
        <v>89529.4</v>
      </c>
      <c r="AE43" s="107">
        <v>89529.4</v>
      </c>
      <c r="AF43" s="108">
        <v>42652.16</v>
      </c>
      <c r="AG43" s="78">
        <f t="shared" si="2"/>
        <v>47.640395222128156</v>
      </c>
    </row>
    <row r="44" spans="1:33" ht="27.75">
      <c r="A44" s="20" t="s">
        <v>149</v>
      </c>
      <c r="B44" s="112" t="s">
        <v>160</v>
      </c>
      <c r="C44" s="89">
        <f t="shared" si="0"/>
        <v>259290.01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5"/>
      <c r="AD44" s="106">
        <f t="shared" si="1"/>
        <v>259290.01</v>
      </c>
      <c r="AE44" s="107">
        <v>259290.01</v>
      </c>
      <c r="AF44" s="108">
        <f>150000+1917.6+49589.95+30903.29+3251.19</f>
        <v>235662.03</v>
      </c>
      <c r="AG44" s="78">
        <f t="shared" si="2"/>
        <v>90.88743141318865</v>
      </c>
    </row>
    <row r="45" spans="1:33" ht="27.75">
      <c r="A45" s="20" t="s">
        <v>150</v>
      </c>
      <c r="B45" s="112" t="s">
        <v>136</v>
      </c>
      <c r="C45" s="89">
        <f t="shared" si="0"/>
        <v>89529.4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5"/>
      <c r="AD45" s="106">
        <f t="shared" si="1"/>
        <v>89529.4</v>
      </c>
      <c r="AE45" s="107">
        <v>89529.4</v>
      </c>
      <c r="AF45" s="108">
        <v>46059.44</v>
      </c>
      <c r="AG45" s="78">
        <f t="shared" si="2"/>
        <v>51.44616181946936</v>
      </c>
    </row>
    <row r="46" spans="1:33" ht="27.75">
      <c r="A46" s="20" t="s">
        <v>151</v>
      </c>
      <c r="B46" s="113" t="s">
        <v>137</v>
      </c>
      <c r="C46" s="89">
        <f t="shared" si="0"/>
        <v>68183.04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5"/>
      <c r="AD46" s="106">
        <f t="shared" si="1"/>
        <v>68183.04</v>
      </c>
      <c r="AE46" s="107">
        <v>68183.04</v>
      </c>
      <c r="AF46" s="109"/>
      <c r="AG46" s="78">
        <f t="shared" si="2"/>
        <v>0</v>
      </c>
    </row>
    <row r="47" spans="1:33" ht="27.75">
      <c r="A47" s="20" t="s">
        <v>152</v>
      </c>
      <c r="B47" s="112" t="s">
        <v>189</v>
      </c>
      <c r="C47" s="89">
        <f t="shared" si="0"/>
        <v>68183.04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5"/>
      <c r="AD47" s="106">
        <f t="shared" si="1"/>
        <v>68183.04</v>
      </c>
      <c r="AE47" s="107">
        <v>68183.04</v>
      </c>
      <c r="AF47" s="109"/>
      <c r="AG47" s="78">
        <f t="shared" si="2"/>
        <v>0</v>
      </c>
    </row>
    <row r="48" spans="1:33" ht="27.75">
      <c r="A48" s="20" t="s">
        <v>153</v>
      </c>
      <c r="B48" s="112" t="s">
        <v>190</v>
      </c>
      <c r="C48" s="89">
        <f t="shared" si="0"/>
        <v>12000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5"/>
      <c r="AD48" s="106">
        <f t="shared" si="1"/>
        <v>12000</v>
      </c>
      <c r="AE48" s="107">
        <v>12000</v>
      </c>
      <c r="AF48" s="108">
        <v>7432.8</v>
      </c>
      <c r="AG48" s="78">
        <f aca="true" t="shared" si="3" ref="AG48:AG53">AF48/C48*100</f>
        <v>61.940000000000005</v>
      </c>
    </row>
    <row r="49" spans="1:33" ht="27.75">
      <c r="A49" s="20" t="s">
        <v>154</v>
      </c>
      <c r="B49" s="112" t="s">
        <v>138</v>
      </c>
      <c r="C49" s="89">
        <f t="shared" si="0"/>
        <v>6000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5"/>
      <c r="AD49" s="106">
        <f t="shared" si="1"/>
        <v>6000</v>
      </c>
      <c r="AE49" s="107">
        <v>6000</v>
      </c>
      <c r="AF49" s="108">
        <v>2912.4</v>
      </c>
      <c r="AG49" s="78">
        <f t="shared" si="3"/>
        <v>48.54</v>
      </c>
    </row>
    <row r="50" spans="1:33" ht="27.75">
      <c r="A50" s="20" t="s">
        <v>155</v>
      </c>
      <c r="B50" s="112" t="s">
        <v>139</v>
      </c>
      <c r="C50" s="89">
        <f t="shared" si="0"/>
        <v>12500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5"/>
      <c r="AD50" s="106">
        <f t="shared" si="1"/>
        <v>12500</v>
      </c>
      <c r="AE50" s="107">
        <v>12500</v>
      </c>
      <c r="AF50" s="108">
        <v>9697.2</v>
      </c>
      <c r="AG50" s="78">
        <f t="shared" si="3"/>
        <v>77.5776</v>
      </c>
    </row>
    <row r="51" spans="1:33" ht="30.75">
      <c r="A51" s="20" t="s">
        <v>156</v>
      </c>
      <c r="B51" s="114" t="s">
        <v>140</v>
      </c>
      <c r="C51" s="89">
        <f t="shared" si="0"/>
        <v>6000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5"/>
      <c r="AD51" s="106">
        <f t="shared" si="1"/>
        <v>6000</v>
      </c>
      <c r="AE51" s="107">
        <v>6000</v>
      </c>
      <c r="AF51" s="108">
        <v>2588.4</v>
      </c>
      <c r="AG51" s="78">
        <f t="shared" si="3"/>
        <v>43.14</v>
      </c>
    </row>
    <row r="52" spans="1:33" ht="30.75">
      <c r="A52" s="20" t="s">
        <v>157</v>
      </c>
      <c r="B52" s="114" t="s">
        <v>191</v>
      </c>
      <c r="C52" s="89">
        <f t="shared" si="0"/>
        <v>378408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5"/>
      <c r="AD52" s="106">
        <f t="shared" si="1"/>
        <v>378408</v>
      </c>
      <c r="AE52" s="107">
        <v>378408</v>
      </c>
      <c r="AF52" s="108">
        <f>3424.8+98000</f>
        <v>101424.8</v>
      </c>
      <c r="AG52" s="78">
        <f t="shared" si="3"/>
        <v>26.80302742013911</v>
      </c>
    </row>
    <row r="53" spans="1:33" ht="27.75">
      <c r="A53" s="20" t="s">
        <v>158</v>
      </c>
      <c r="B53" s="115" t="s">
        <v>141</v>
      </c>
      <c r="C53" s="89">
        <f t="shared" si="0"/>
        <v>67823.44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5"/>
      <c r="AD53" s="106">
        <f t="shared" si="1"/>
        <v>67823.44</v>
      </c>
      <c r="AE53" s="107">
        <v>67823.44</v>
      </c>
      <c r="AF53" s="109"/>
      <c r="AG53" s="78">
        <f t="shared" si="3"/>
        <v>0</v>
      </c>
    </row>
    <row r="54" spans="1:33" ht="27.75">
      <c r="A54" s="20" t="s">
        <v>161</v>
      </c>
      <c r="B54" s="115" t="s">
        <v>193</v>
      </c>
      <c r="C54" s="89">
        <f t="shared" si="0"/>
        <v>170000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5"/>
      <c r="AD54" s="106">
        <f t="shared" si="1"/>
        <v>170000</v>
      </c>
      <c r="AE54" s="107">
        <v>170000</v>
      </c>
      <c r="AF54" s="109"/>
      <c r="AG54" s="78">
        <f aca="true" t="shared" si="4" ref="AG54:AG64">AF54/C54*100</f>
        <v>0</v>
      </c>
    </row>
    <row r="55" spans="1:33" ht="27.75">
      <c r="A55" s="20" t="s">
        <v>192</v>
      </c>
      <c r="B55" s="115" t="s">
        <v>142</v>
      </c>
      <c r="C55" s="89">
        <f t="shared" si="0"/>
        <v>110473.24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5"/>
      <c r="AD55" s="106">
        <f t="shared" si="1"/>
        <v>110473.24</v>
      </c>
      <c r="AE55" s="107">
        <v>110473.24</v>
      </c>
      <c r="AF55" s="109"/>
      <c r="AG55" s="78">
        <f t="shared" si="4"/>
        <v>0</v>
      </c>
    </row>
    <row r="56" spans="1:33" ht="27.75">
      <c r="A56" s="20" t="s">
        <v>194</v>
      </c>
      <c r="B56" s="115" t="s">
        <v>143</v>
      </c>
      <c r="C56" s="89">
        <f t="shared" si="0"/>
        <v>37506.28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5"/>
      <c r="AD56" s="106">
        <f t="shared" si="1"/>
        <v>37506.28</v>
      </c>
      <c r="AE56" s="107">
        <v>37506.28</v>
      </c>
      <c r="AF56" s="109"/>
      <c r="AG56" s="78">
        <f t="shared" si="4"/>
        <v>0</v>
      </c>
    </row>
    <row r="57" spans="1:33" ht="27.75">
      <c r="A57" s="20" t="s">
        <v>195</v>
      </c>
      <c r="B57" s="115" t="s">
        <v>197</v>
      </c>
      <c r="C57" s="89">
        <f t="shared" si="0"/>
        <v>100000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5"/>
      <c r="AD57" s="106">
        <f t="shared" si="1"/>
        <v>100000</v>
      </c>
      <c r="AE57" s="107">
        <v>100000</v>
      </c>
      <c r="AF57" s="109"/>
      <c r="AG57" s="78">
        <f t="shared" si="4"/>
        <v>0</v>
      </c>
    </row>
    <row r="58" spans="1:33" ht="27.75">
      <c r="A58" s="20" t="s">
        <v>196</v>
      </c>
      <c r="B58" s="115" t="s">
        <v>144</v>
      </c>
      <c r="C58" s="89">
        <f t="shared" si="0"/>
        <v>2700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5"/>
      <c r="AD58" s="106">
        <f t="shared" si="1"/>
        <v>2700</v>
      </c>
      <c r="AE58" s="107">
        <v>2700</v>
      </c>
      <c r="AF58" s="109"/>
      <c r="AG58" s="78">
        <f t="shared" si="4"/>
        <v>0</v>
      </c>
    </row>
    <row r="59" spans="1:33" ht="27.75">
      <c r="A59" s="20" t="s">
        <v>198</v>
      </c>
      <c r="B59" s="115" t="s">
        <v>145</v>
      </c>
      <c r="C59" s="89">
        <f t="shared" si="0"/>
        <v>3500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5"/>
      <c r="AD59" s="106">
        <f t="shared" si="1"/>
        <v>3500</v>
      </c>
      <c r="AE59" s="107">
        <v>3500</v>
      </c>
      <c r="AF59" s="109"/>
      <c r="AG59" s="78">
        <f t="shared" si="4"/>
        <v>0</v>
      </c>
    </row>
    <row r="60" spans="1:33" ht="27.75">
      <c r="A60" s="20" t="s">
        <v>199</v>
      </c>
      <c r="B60" s="115" t="s">
        <v>201</v>
      </c>
      <c r="C60" s="89">
        <f t="shared" si="0"/>
        <v>200000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5"/>
      <c r="AD60" s="106">
        <f t="shared" si="1"/>
        <v>200000</v>
      </c>
      <c r="AE60" s="107">
        <v>200000</v>
      </c>
      <c r="AF60" s="109"/>
      <c r="AG60" s="78">
        <f t="shared" si="4"/>
        <v>0</v>
      </c>
    </row>
    <row r="61" spans="1:33" ht="27.75">
      <c r="A61" s="20" t="s">
        <v>200</v>
      </c>
      <c r="B61" s="115" t="s">
        <v>203</v>
      </c>
      <c r="C61" s="89">
        <f t="shared" si="0"/>
        <v>350000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5"/>
      <c r="AD61" s="106">
        <f t="shared" si="1"/>
        <v>350000</v>
      </c>
      <c r="AE61" s="107">
        <v>350000</v>
      </c>
      <c r="AF61" s="108">
        <v>12264</v>
      </c>
      <c r="AG61" s="78">
        <f t="shared" si="4"/>
        <v>3.504</v>
      </c>
    </row>
    <row r="62" spans="1:33" ht="27.75">
      <c r="A62" s="20" t="s">
        <v>202</v>
      </c>
      <c r="B62" s="115" t="s">
        <v>162</v>
      </c>
      <c r="C62" s="89">
        <f t="shared" si="0"/>
        <v>200000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5"/>
      <c r="AD62" s="106">
        <f t="shared" si="1"/>
        <v>200000</v>
      </c>
      <c r="AE62" s="107">
        <v>200000</v>
      </c>
      <c r="AF62" s="108">
        <v>14000</v>
      </c>
      <c r="AG62" s="78">
        <f t="shared" si="4"/>
        <v>7.000000000000001</v>
      </c>
    </row>
    <row r="63" spans="1:33" ht="27.75">
      <c r="A63" s="20" t="s">
        <v>204</v>
      </c>
      <c r="B63" s="115" t="s">
        <v>163</v>
      </c>
      <c r="C63" s="89">
        <f t="shared" si="0"/>
        <v>200000</v>
      </c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5"/>
      <c r="AD63" s="106">
        <f t="shared" si="1"/>
        <v>200000</v>
      </c>
      <c r="AE63" s="107">
        <v>200000</v>
      </c>
      <c r="AF63" s="108">
        <v>14000</v>
      </c>
      <c r="AG63" s="78">
        <f t="shared" si="4"/>
        <v>7.000000000000001</v>
      </c>
    </row>
    <row r="64" spans="1:33" ht="55.5">
      <c r="A64" s="20" t="s">
        <v>205</v>
      </c>
      <c r="B64" s="52" t="s">
        <v>206</v>
      </c>
      <c r="C64" s="89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1">
        <v>18900000</v>
      </c>
      <c r="AF64" s="116">
        <f>340914.2+29821.92+130795.6+359413.07+20133.64+224213.1</f>
        <v>1105291.53</v>
      </c>
      <c r="AG64" s="78">
        <f t="shared" si="4"/>
        <v>5.848103333333333</v>
      </c>
    </row>
    <row r="65" spans="1:33" ht="15">
      <c r="A65" s="27" t="s">
        <v>84</v>
      </c>
      <c r="B65" s="53" t="s">
        <v>127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5496905.39</v>
      </c>
      <c r="AG65" s="76">
        <f t="shared" si="2"/>
        <v>76.61192181184668</v>
      </c>
    </row>
    <row r="66" spans="1:33" ht="55.5">
      <c r="A66" s="20" t="s">
        <v>107</v>
      </c>
      <c r="B66" s="51" t="s">
        <v>81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1">
        <f>2994538.8+52872+280044+277828.59+929435.6+877224+84962.4</f>
        <v>5496905.39</v>
      </c>
      <c r="AG66" s="78">
        <f t="shared" si="2"/>
        <v>76.61192181184668</v>
      </c>
    </row>
    <row r="67" spans="1:33" ht="30">
      <c r="A67" s="27" t="s">
        <v>27</v>
      </c>
      <c r="B67" s="53" t="s">
        <v>128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53</v>
      </c>
      <c r="B68" s="51" t="s">
        <v>82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31">
        <f>278748+651313+697051</f>
        <v>1627112</v>
      </c>
      <c r="AG68" s="78">
        <f t="shared" si="2"/>
        <v>63.93367387033398</v>
      </c>
    </row>
    <row r="69" spans="1:33" s="3" customFormat="1" ht="29.25" customHeight="1">
      <c r="A69" s="22" t="s">
        <v>108</v>
      </c>
      <c r="B69" s="54" t="s">
        <v>23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30958073.16</v>
      </c>
      <c r="AG69" s="76">
        <f t="shared" si="2"/>
        <v>59.74287419352897</v>
      </c>
    </row>
    <row r="70" spans="1:33" ht="27.75">
      <c r="A70" s="9" t="s">
        <v>114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90">
        <f>SUM(AF71:AF76)</f>
        <v>12421417.379999999</v>
      </c>
      <c r="AG70" s="79">
        <f t="shared" si="2"/>
        <v>69.64826345600376</v>
      </c>
    </row>
    <row r="71" spans="1:33" ht="13.5">
      <c r="A71" s="9"/>
      <c r="B71" s="56" t="s">
        <v>64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1">
        <v>711836.19</v>
      </c>
      <c r="AG71" s="80">
        <f t="shared" si="2"/>
        <v>96.24512996751831</v>
      </c>
    </row>
    <row r="72" spans="1:33" ht="27.75">
      <c r="A72" s="9"/>
      <c r="B72" s="56" t="s">
        <v>133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2">
        <f>455000+314965+130620+343290+97715+339580+98470+273260+131835+305145+214330</f>
        <v>2704210</v>
      </c>
      <c r="AG72" s="80">
        <f t="shared" si="2"/>
        <v>66.77061728395061</v>
      </c>
    </row>
    <row r="73" spans="1:33" ht="13.5">
      <c r="A73" s="9"/>
      <c r="B73" s="56" t="s">
        <v>63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1">
        <f>2365770.77+938491.55+624657.88+597865.39+521903.53+454645.44+638736.55+719669.99</f>
        <v>6861741.100000001</v>
      </c>
      <c r="AG73" s="80">
        <f t="shared" si="2"/>
        <v>66.74572082213365</v>
      </c>
    </row>
    <row r="74" spans="1:33" ht="27.75">
      <c r="A74" s="9"/>
      <c r="B74" s="56" t="s">
        <v>42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2">
        <f>46671+2500+4491+51671+51162+4491+2500+46671+4491+46671+4491+46671+5000+24687+4491+30677+2500+4491+24868.9+30677+24866.9+4491+2500+30677+29358.9+2500+30677</f>
        <v>564943.7000000001</v>
      </c>
      <c r="AG74" s="80">
        <f t="shared" si="2"/>
        <v>77.35527849716989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2">
        <f>124086+55244.7+44251+76234+44251+44251+38355+47346.24+49686+38383.46+11048.23+45153+35304.93+51458.35+44416.85+39352.44</f>
        <v>788822.2</v>
      </c>
      <c r="AG75" s="80">
        <f t="shared" si="2"/>
        <v>76.43959281170206</v>
      </c>
    </row>
    <row r="76" spans="1:33" ht="13.5">
      <c r="A76" s="9"/>
      <c r="B76" s="56" t="s">
        <v>36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9">
        <f>165541.2+86398.21+87668.42+90307.93+90518.03+90297.32+90918.07+88215.01</f>
        <v>789864.1900000002</v>
      </c>
      <c r="AG76" s="80">
        <f t="shared" si="2"/>
        <v>78.8138167413365</v>
      </c>
    </row>
    <row r="77" spans="1:33" ht="13.5">
      <c r="A77" s="9" t="s">
        <v>115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90">
        <f>SUM(AF78:AF82)</f>
        <v>5516369.32</v>
      </c>
      <c r="AG77" s="79">
        <f t="shared" si="2"/>
        <v>76.60723814108457</v>
      </c>
    </row>
    <row r="78" spans="1:33" ht="13.5">
      <c r="A78" s="9"/>
      <c r="B78" s="56" t="s">
        <v>37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1">
        <f>195156+87000+174330+87000+260160+58000+70200+58000+139245.91+87000+121680+58000</f>
        <v>1395771.91</v>
      </c>
      <c r="AG78" s="80">
        <f t="shared" si="2"/>
        <v>58.102311187696955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1">
        <f>135000+33750+27090+11457+172700</f>
        <v>379997</v>
      </c>
      <c r="AG79" s="80">
        <f t="shared" si="2"/>
        <v>99.99921052631578</v>
      </c>
    </row>
    <row r="80" spans="1:33" ht="13.5">
      <c r="A80" s="9"/>
      <c r="B80" s="56" t="s">
        <v>38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1">
        <f>33207.3+33207.3+33207.3+33207.3+33207.3</f>
        <v>166036.5</v>
      </c>
      <c r="AG80" s="80">
        <f t="shared" si="2"/>
        <v>83.01825000000001</v>
      </c>
    </row>
    <row r="81" spans="1:33" ht="13.5">
      <c r="A81" s="9"/>
      <c r="B81" s="56" t="s">
        <v>39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1">
        <f>45550+62000+60735+53619.08+69575</f>
        <v>291479.08</v>
      </c>
      <c r="AG81" s="80">
        <f aca="true" t="shared" si="9" ref="AG81:AG138">AF81/C81*100</f>
        <v>99.99939618672705</v>
      </c>
    </row>
    <row r="82" spans="1:33" ht="44.25" customHeight="1">
      <c r="A82" s="9"/>
      <c r="B82" s="56" t="s">
        <v>40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2">
        <f>1017646.61+44880+126065.55+74837.4+57228.6+90245.1+212678.65+329120+256886.6+76800+92446.2+255516.22+121483.9+293790+233460</f>
        <v>3283084.83</v>
      </c>
      <c r="AG82" s="80">
        <f t="shared" si="9"/>
        <v>83.60075432058123</v>
      </c>
    </row>
    <row r="83" spans="1:33" ht="27.75">
      <c r="A83" s="9" t="s">
        <v>116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90">
        <f>SUM(AF84:AF86)</f>
        <v>1094034.95</v>
      </c>
      <c r="AG83" s="79">
        <f t="shared" si="9"/>
        <v>59.15400024338877</v>
      </c>
    </row>
    <row r="84" spans="1:33" ht="13.5">
      <c r="A84" s="9"/>
      <c r="B84" s="56" t="s">
        <v>55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1">
        <f>581281.86-183335.28+134873.07+214611.3+117069.05</f>
        <v>864500</v>
      </c>
      <c r="AG84" s="80">
        <f t="shared" si="9"/>
        <v>68.00842690883803</v>
      </c>
    </row>
    <row r="85" spans="1:33" ht="13.5">
      <c r="A85" s="9"/>
      <c r="B85" s="56" t="s">
        <v>56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1">
        <f>32355.65+32355.65+32355.65</f>
        <v>97066.95000000001</v>
      </c>
      <c r="AG85" s="80">
        <f t="shared" si="9"/>
        <v>61.67104493804716</v>
      </c>
    </row>
    <row r="86" spans="1:33" ht="13.5">
      <c r="A86" s="9"/>
      <c r="B86" s="56" t="s">
        <v>57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1">
        <f>31498.87+32966.8+33642.28+34360.05</f>
        <v>132468</v>
      </c>
      <c r="AG86" s="80">
        <f t="shared" si="9"/>
        <v>31.471930709864665</v>
      </c>
    </row>
    <row r="87" spans="1:33" ht="13.5">
      <c r="A87" s="9" t="s">
        <v>117</v>
      </c>
      <c r="B87" s="55" t="s">
        <v>41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90">
        <f>SUM(AF88:AF93)</f>
        <v>2140896.6399999997</v>
      </c>
      <c r="AG87" s="78">
        <f t="shared" si="9"/>
        <v>60.68072273895474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92">
        <f>125100.74+47588.76+8444.96+20315+4469.3+55353.01+9534.81+126000+58800+49000+25367.46+26574.36+47740.44+9503.36+21140.5+12730.85+1905+18522.5+4074.95+5850+46702.54+68970.2+13749.15+20912.5+4600.75+10429.5+60101.85+11906.66+4651.19+193200+3331.68+21257.24+20912.5+4600.75+56485.15+11414.82+5446.27+21480.5+12257.75+1817.28+28441.5+6257.13+52225.31+9971.69+5426.35+16335.45</f>
        <v>1390901.7099999997</v>
      </c>
      <c r="AG88" s="78">
        <f t="shared" si="9"/>
        <v>57.58742735972287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2">
        <f>129802.78+45117.28+9925.9+16132.5+3549.15+50156.48+11034.42+6420+19681.65+42614.5+9375.19+7351.6+8800+22346.5+4916.23+3005.6+40594.85+8930.87+26290+5783.8+42618.43+9398.54+20315+4469.3+39444.64+8671.01+25095+5520.9+41467.49+9129.67</f>
        <v>677959.28</v>
      </c>
      <c r="AG89" s="80">
        <f t="shared" si="9"/>
        <v>70.5276764936277</v>
      </c>
    </row>
    <row r="90" spans="1:33" ht="33.75" customHeight="1">
      <c r="A90" s="9"/>
      <c r="B90" s="56" t="s">
        <v>170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2">
        <v>34981</v>
      </c>
      <c r="AG90" s="80">
        <f t="shared" si="9"/>
        <v>99.94571428571429</v>
      </c>
    </row>
    <row r="91" spans="1:33" ht="24.75" customHeight="1">
      <c r="A91" s="9"/>
      <c r="B91" s="56" t="s">
        <v>171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2"/>
      <c r="AG91" s="80">
        <f t="shared" si="9"/>
        <v>0</v>
      </c>
    </row>
    <row r="92" spans="1:33" ht="13.5">
      <c r="A92" s="9"/>
      <c r="B92" s="56" t="s">
        <v>58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1">
        <f>7534.82+5001.66+5251.05+4496.36+3259.78+4952.46</f>
        <v>30496.129999999997</v>
      </c>
      <c r="AG92" s="80">
        <f t="shared" si="9"/>
        <v>76.8164483627204</v>
      </c>
    </row>
    <row r="93" spans="1:33" ht="13.5">
      <c r="A93" s="9"/>
      <c r="B93" s="56" t="s">
        <v>59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1">
        <f>1230.14+830.15+486.74+512.5+803.51+898.5+1040.49+756.49</f>
        <v>6558.5199999999995</v>
      </c>
      <c r="AG93" s="80">
        <f t="shared" si="9"/>
        <v>20.43152647975078</v>
      </c>
    </row>
    <row r="94" spans="1:33" ht="13.5">
      <c r="A94" s="9" t="s">
        <v>118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90">
        <f>AF98</f>
        <v>99727.2</v>
      </c>
      <c r="AG94" s="79">
        <f t="shared" si="9"/>
        <v>1.9554352941176472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1"/>
      <c r="AG95" s="80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1"/>
      <c r="AG96" s="80">
        <f t="shared" si="9"/>
        <v>0</v>
      </c>
    </row>
    <row r="97" spans="1:33" ht="13.5">
      <c r="A97" s="9"/>
      <c r="B97" s="57" t="s">
        <v>111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1"/>
      <c r="AG97" s="80">
        <f t="shared" si="9"/>
        <v>0</v>
      </c>
    </row>
    <row r="98" spans="1:33" ht="18" customHeight="1">
      <c r="A98" s="9"/>
      <c r="B98" s="58" t="s">
        <v>129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1">
        <v>99727.2</v>
      </c>
      <c r="AG98" s="80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3"/>
      <c r="AG99" s="80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3"/>
      <c r="AG100" s="80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3"/>
      <c r="AG101" s="80">
        <f t="shared" si="9"/>
        <v>99.7272</v>
      </c>
    </row>
    <row r="102" spans="1:33" ht="13.5" customHeight="1">
      <c r="A102" s="9"/>
      <c r="B102" s="56" t="s">
        <v>210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3"/>
      <c r="AG102" s="80">
        <f t="shared" si="9"/>
        <v>0</v>
      </c>
    </row>
    <row r="103" spans="1:33" ht="29.25" customHeight="1">
      <c r="A103" s="9" t="s">
        <v>119</v>
      </c>
      <c r="B103" s="55" t="s">
        <v>164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90">
        <f>SUM(AF104:AF105)</f>
        <v>316563.56999999995</v>
      </c>
      <c r="AG103" s="80">
        <f t="shared" si="9"/>
        <v>95.39606761448512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2">
        <f>41185.37+20592.68+20592.69+20592.68+20592.68+21080.87+21080.87+21080.87+21080.87+42161.74</f>
        <v>250041.31999999998</v>
      </c>
      <c r="AG104" s="80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2">
        <f>52000+14522.25</f>
        <v>66522.25</v>
      </c>
      <c r="AG105" s="80">
        <f t="shared" si="9"/>
        <v>81.32304400977995</v>
      </c>
    </row>
    <row r="106" spans="1:33" ht="13.5">
      <c r="A106" s="9" t="s">
        <v>120</v>
      </c>
      <c r="B106" s="55" t="s">
        <v>21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90">
        <f>AF107+AF112+AF113+AF114</f>
        <v>8366144.100000001</v>
      </c>
      <c r="AG106" s="79">
        <f t="shared" si="9"/>
        <v>63.457315161081354</v>
      </c>
    </row>
    <row r="107" spans="1:33" ht="46.5" customHeight="1">
      <c r="A107" s="9"/>
      <c r="B107" s="56" t="s">
        <v>218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2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+283356.99+142546+108439.64+258964.24+145596+1305.41+364642.19+145596+98725.26+409953.22+465086.33+18160.03+3238.49+403334.92+3129.28</f>
        <v>8262254.420000001</v>
      </c>
      <c r="AG107" s="80">
        <f t="shared" si="9"/>
        <v>67.42610127735543</v>
      </c>
    </row>
    <row r="108" spans="1:33" ht="39" customHeight="1">
      <c r="A108" s="9"/>
      <c r="B108" s="132" t="s">
        <v>223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2"/>
      <c r="AG108" s="80">
        <f t="shared" si="9"/>
        <v>0</v>
      </c>
    </row>
    <row r="109" spans="1:33" ht="34.5" customHeight="1">
      <c r="A109" s="9"/>
      <c r="B109" s="132" t="s">
        <v>219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2"/>
      <c r="AG109" s="80">
        <f t="shared" si="9"/>
        <v>0</v>
      </c>
    </row>
    <row r="110" spans="1:33" ht="27.75" customHeight="1">
      <c r="A110" s="9"/>
      <c r="B110" s="132" t="s">
        <v>220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2"/>
      <c r="AG110" s="80">
        <f t="shared" si="9"/>
        <v>0</v>
      </c>
    </row>
    <row r="111" spans="1:33" ht="36" customHeight="1">
      <c r="A111" s="9"/>
      <c r="B111" s="132" t="s">
        <v>222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2"/>
      <c r="AG111" s="80">
        <f t="shared" si="9"/>
        <v>0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2">
        <v>23789.68</v>
      </c>
      <c r="AG112" s="80">
        <f t="shared" si="9"/>
        <v>15.859786666666666</v>
      </c>
    </row>
    <row r="113" spans="1:33" ht="13.5">
      <c r="A113" s="9"/>
      <c r="B113" s="26" t="s">
        <v>112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1"/>
      <c r="AG113" s="80">
        <f t="shared" si="9"/>
        <v>0</v>
      </c>
    </row>
    <row r="114" spans="1:33" ht="19.5" customHeight="1">
      <c r="A114" s="9"/>
      <c r="B114" s="56" t="s">
        <v>159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2">
        <v>80100</v>
      </c>
      <c r="AG114" s="80">
        <f t="shared" si="9"/>
        <v>100</v>
      </c>
    </row>
    <row r="115" spans="1:33" ht="27.75">
      <c r="A115" s="9" t="s">
        <v>121</v>
      </c>
      <c r="B115" s="55" t="s">
        <v>46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90">
        <f>SUM(AF116:AF116)</f>
        <v>119004</v>
      </c>
      <c r="AG115" s="79">
        <f t="shared" si="9"/>
        <v>97.78072333447024</v>
      </c>
    </row>
    <row r="116" spans="1:33" ht="23.25" customHeight="1">
      <c r="A116" s="9"/>
      <c r="B116" s="56" t="s">
        <v>47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2">
        <f>99616.15+19387.85</f>
        <v>119004</v>
      </c>
      <c r="AG116" s="78">
        <f t="shared" si="9"/>
        <v>97.78072333447024</v>
      </c>
    </row>
    <row r="117" spans="1:33" ht="13.5">
      <c r="A117" s="9" t="s">
        <v>122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90">
        <f>SUM(AF118:AF119)</f>
        <v>759388.6100000001</v>
      </c>
      <c r="AG117" s="79">
        <f t="shared" si="9"/>
        <v>89.22083477082779</v>
      </c>
    </row>
    <row r="118" spans="1:33" ht="13.5">
      <c r="A118" s="9"/>
      <c r="B118" s="56" t="s">
        <v>60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1">
        <f>489369.46+67184.23+178391.37</f>
        <v>734945.06</v>
      </c>
      <c r="AG118" s="80">
        <f t="shared" si="9"/>
        <v>97.84476990328702</v>
      </c>
    </row>
    <row r="119" spans="1:33" ht="13.5">
      <c r="A119" s="9"/>
      <c r="B119" s="56" t="s">
        <v>31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1">
        <f>6764.94+4155.7+1905.74+2325.52+2271.44+3547.54+3472.67</f>
        <v>24443.550000000003</v>
      </c>
      <c r="AG119" s="80">
        <f t="shared" si="9"/>
        <v>24.443550000000002</v>
      </c>
    </row>
    <row r="120" spans="1:33" ht="13.5">
      <c r="A120" s="9" t="s">
        <v>123</v>
      </c>
      <c r="B120" s="55" t="s">
        <v>32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90">
        <v>40000</v>
      </c>
      <c r="AG120" s="80">
        <f t="shared" si="9"/>
        <v>21.2341038180989</v>
      </c>
    </row>
    <row r="121" spans="1:33" ht="13.5">
      <c r="A121" s="9" t="s">
        <v>124</v>
      </c>
      <c r="B121" s="55" t="s">
        <v>166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90">
        <f>SUM(AF122:AF123)</f>
        <v>82109.48</v>
      </c>
      <c r="AG121" s="79">
        <f t="shared" si="9"/>
        <v>84.26584292033127</v>
      </c>
    </row>
    <row r="122" spans="1:33" ht="13.5">
      <c r="A122" s="9"/>
      <c r="B122" s="56" t="s">
        <v>33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1">
        <f>27053.44-4752.8+21602.9+20816.5+14571.55</f>
        <v>79291.59</v>
      </c>
      <c r="AG122" s="80">
        <f t="shared" si="9"/>
        <v>85.03119571045576</v>
      </c>
    </row>
    <row r="123" spans="1:33" ht="13.5">
      <c r="A123" s="9"/>
      <c r="B123" s="56" t="s">
        <v>61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1">
        <f>400.51+657.98+772.42+986.98</f>
        <v>2817.89</v>
      </c>
      <c r="AG123" s="80">
        <f t="shared" si="9"/>
        <v>67.23669768551657</v>
      </c>
    </row>
    <row r="124" spans="1:33" ht="13.5">
      <c r="A124" s="9" t="s">
        <v>125</v>
      </c>
      <c r="B124" s="55" t="s">
        <v>165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90">
        <f>SUM(AF125:AF126)</f>
        <v>2417.91</v>
      </c>
      <c r="AG124" s="79">
        <f t="shared" si="9"/>
        <v>7.671034263959391</v>
      </c>
    </row>
    <row r="125" spans="1:33" ht="13.5">
      <c r="A125" s="9"/>
      <c r="B125" s="56" t="s">
        <v>34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1">
        <f>570.07+1786.59</f>
        <v>2356.66</v>
      </c>
      <c r="AG125" s="80">
        <f t="shared" si="9"/>
        <v>44.20505702280912</v>
      </c>
    </row>
    <row r="126" spans="1:33" ht="13.5">
      <c r="A126" s="9"/>
      <c r="B126" s="56" t="s">
        <v>62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1">
        <v>61.25</v>
      </c>
      <c r="AG126" s="80">
        <f t="shared" si="9"/>
        <v>0.2338786045943304</v>
      </c>
    </row>
    <row r="127" spans="1:33" ht="13.5">
      <c r="A127" s="9" t="s">
        <v>134</v>
      </c>
      <c r="B127" s="55" t="s">
        <v>135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3"/>
      <c r="AG127" s="78">
        <f t="shared" si="9"/>
        <v>0</v>
      </c>
    </row>
    <row r="128" spans="1:33" s="3" customFormat="1" ht="23.25" customHeight="1">
      <c r="A128" s="22" t="s">
        <v>109</v>
      </c>
      <c r="B128" s="59" t="s">
        <v>52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4">
        <f>BG128</f>
        <v>0</v>
      </c>
      <c r="AG128" s="76">
        <f t="shared" si="9"/>
        <v>0</v>
      </c>
    </row>
    <row r="129" spans="1:33" ht="27.75">
      <c r="A129" s="9" t="s">
        <v>126</v>
      </c>
      <c r="B129" s="117" t="s">
        <v>25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1">
        <f>C129</f>
        <v>32849</v>
      </c>
      <c r="AD129" s="16"/>
      <c r="AE129" s="66"/>
      <c r="AF129" s="91"/>
      <c r="AG129" s="79">
        <f t="shared" si="9"/>
        <v>0</v>
      </c>
    </row>
    <row r="130" spans="1:33" s="3" customFormat="1" ht="15">
      <c r="A130" s="22" t="s">
        <v>110</v>
      </c>
      <c r="B130" s="59" t="s">
        <v>29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4">
        <f>AF131+AF137</f>
        <v>164727.12999999998</v>
      </c>
      <c r="AG130" s="76">
        <f t="shared" si="9"/>
        <v>19.79335511805867</v>
      </c>
    </row>
    <row r="131" spans="1:33" ht="21" customHeight="1">
      <c r="A131" s="9" t="s">
        <v>113</v>
      </c>
      <c r="B131" s="55" t="s">
        <v>54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90">
        <f>AF132+AF133</f>
        <v>164727.12999999998</v>
      </c>
      <c r="AG131" s="77">
        <f t="shared" si="9"/>
        <v>19.79335511805867</v>
      </c>
    </row>
    <row r="132" spans="1:33" ht="42">
      <c r="A132" s="9"/>
      <c r="B132" s="56" t="s">
        <v>14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8">
        <f>24211.33+10124.25+10765.51+13157.92+11695.74+9191.49+14350.76+21184.89+15358.73+16539.68+6350+11796.83</f>
        <v>164727.12999999998</v>
      </c>
      <c r="AG132" s="78">
        <f t="shared" si="9"/>
        <v>22.759297548493702</v>
      </c>
    </row>
    <row r="133" spans="1:33" ht="32.25" customHeight="1">
      <c r="A133" s="9"/>
      <c r="B133" s="120" t="s">
        <v>15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/>
      <c r="AG133" s="78">
        <f t="shared" si="9"/>
        <v>0</v>
      </c>
    </row>
    <row r="134" spans="1:33" ht="32.25" customHeight="1">
      <c r="A134" s="121" t="s">
        <v>211</v>
      </c>
      <c r="B134" s="122" t="s">
        <v>212</v>
      </c>
      <c r="C134" s="128">
        <f>C135</f>
        <v>20000000</v>
      </c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8">
        <f>AC135</f>
        <v>20000000</v>
      </c>
      <c r="AD134" s="123"/>
      <c r="AE134" s="124"/>
      <c r="AF134" s="125"/>
      <c r="AG134" s="126"/>
    </row>
    <row r="135" spans="1:33" ht="43.5" customHeight="1">
      <c r="A135" s="9" t="s">
        <v>213</v>
      </c>
      <c r="B135" s="127" t="s">
        <v>214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1"/>
      <c r="AG135" s="78">
        <f t="shared" si="9"/>
        <v>0</v>
      </c>
    </row>
    <row r="136" spans="1:33" ht="43.5" customHeight="1">
      <c r="A136" s="121" t="s">
        <v>215</v>
      </c>
      <c r="B136" s="130" t="s">
        <v>217</v>
      </c>
      <c r="C136" s="128">
        <f>C137</f>
        <v>16489400</v>
      </c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8">
        <f>AC137</f>
        <v>16489400</v>
      </c>
      <c r="AD136" s="123"/>
      <c r="AE136" s="124"/>
      <c r="AF136" s="125"/>
      <c r="AG136" s="126"/>
    </row>
    <row r="137" spans="1:33" ht="93" customHeight="1">
      <c r="A137" s="9" t="s">
        <v>216</v>
      </c>
      <c r="B137" s="51" t="s">
        <v>221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5"/>
      <c r="AG137" s="78">
        <f t="shared" si="9"/>
        <v>0</v>
      </c>
    </row>
    <row r="138" spans="1:33" ht="24" customHeight="1">
      <c r="A138" s="138" t="s">
        <v>48</v>
      </c>
      <c r="B138" s="139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6">
        <f>AF130+AF128+AF69+AF67+AF65+AF6</f>
        <v>43439663.03</v>
      </c>
      <c r="AG138" s="76">
        <f t="shared" si="9"/>
        <v>33.09970996594574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7"/>
      <c r="B142" s="13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2018-09-12T12:10:58Z</cp:lastPrinted>
  <dcterms:created xsi:type="dcterms:W3CDTF">2014-01-17T10:52:16Z</dcterms:created>
  <dcterms:modified xsi:type="dcterms:W3CDTF">2018-10-12T07:30:49Z</dcterms:modified>
  <cp:category/>
  <cp:version/>
  <cp:contentType/>
  <cp:contentStatus/>
</cp:coreProperties>
</file>